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emy Diem\Documents\Dropbox\GEOG1112_LabMaterials\CapstoneLab\"/>
    </mc:Choice>
  </mc:AlternateContent>
  <xr:revisionPtr revIDLastSave="0" documentId="13_ncr:1_{0E6C678F-5029-4A9E-8410-C554E54348B5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Data" sheetId="1" r:id="rId1"/>
    <sheet name="Calculation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" i="2" l="1"/>
  <c r="B11" i="2" s="1"/>
  <c r="B12" i="2" s="1"/>
  <c r="B11" i="1" s="1"/>
  <c r="E10" i="2"/>
  <c r="E11" i="2" s="1"/>
  <c r="E12" i="2" s="1"/>
  <c r="C11" i="1" s="1"/>
  <c r="O7" i="1" l="1"/>
  <c r="P7" i="1" s="1"/>
  <c r="O6" i="1"/>
  <c r="P6" i="1" s="1"/>
  <c r="O5" i="1"/>
  <c r="P5" i="1" s="1"/>
  <c r="I7" i="1"/>
  <c r="I6" i="1"/>
  <c r="I5" i="1"/>
  <c r="K5" i="1" s="1"/>
  <c r="S7" i="1" l="1"/>
  <c r="S6" i="1"/>
  <c r="T6" i="1" l="1"/>
  <c r="V6" i="1"/>
  <c r="U6" i="1"/>
  <c r="V7" i="1"/>
  <c r="T7" i="1"/>
  <c r="U7" i="1"/>
  <c r="S5" i="1"/>
  <c r="U5" i="1" l="1"/>
  <c r="T5" i="1"/>
  <c r="V5" i="1"/>
  <c r="H10" i="2"/>
  <c r="K6" i="1" l="1"/>
  <c r="L6" i="1" s="1"/>
  <c r="K7" i="1"/>
  <c r="L7" i="1" s="1"/>
  <c r="L5" i="1"/>
  <c r="H11" i="2" l="1"/>
  <c r="H12" i="2" l="1"/>
  <c r="I8" i="1" s="1"/>
  <c r="K8" i="1" l="1"/>
  <c r="L8" i="1" s="1"/>
</calcChain>
</file>

<file path=xl/sharedStrings.xml><?xml version="1.0" encoding="utf-8"?>
<sst xmlns="http://schemas.openxmlformats.org/spreadsheetml/2006/main" count="72" uniqueCount="36">
  <si>
    <t>Variable</t>
  </si>
  <si>
    <t>Value</t>
  </si>
  <si>
    <t>Air Temperature (°F)</t>
  </si>
  <si>
    <t>Air Temperature (°C)</t>
  </si>
  <si>
    <t>Sea Level Pressure (hPa)</t>
  </si>
  <si>
    <t>Relative Humidity (%)</t>
  </si>
  <si>
    <t>Barometric Pressure (hPa)</t>
  </si>
  <si>
    <r>
      <t>Specific Humidity (g kg</t>
    </r>
    <r>
      <rPr>
        <vertAlign val="superscript"/>
        <sz val="12"/>
        <color theme="1"/>
        <rFont val="Arial"/>
        <family val="2"/>
      </rPr>
      <t>-1</t>
    </r>
    <r>
      <rPr>
        <sz val="12"/>
        <color theme="1"/>
        <rFont val="Arial"/>
        <family val="2"/>
      </rPr>
      <t>)</t>
    </r>
  </si>
  <si>
    <t>es</t>
  </si>
  <si>
    <t>e</t>
  </si>
  <si>
    <t>SH</t>
  </si>
  <si>
    <t xml:space="preserve">Measured values in the middle of </t>
  </si>
  <si>
    <t>Hurt Park (i.e., Location G)</t>
  </si>
  <si>
    <t>Measured</t>
  </si>
  <si>
    <t>Difference</t>
  </si>
  <si>
    <t>Conditions Relative to Expected</t>
  </si>
  <si>
    <t>Comparison of measured values with mean values (i.e., expected values) over the past 30 years for</t>
  </si>
  <si>
    <t>the month, day, and hour of measurements</t>
  </si>
  <si>
    <t>Expected</t>
  </si>
  <si>
    <t>Present-Day</t>
  </si>
  <si>
    <t>LGM</t>
  </si>
  <si>
    <t>(LGM) on the same month, day, and hour of your measurements</t>
  </si>
  <si>
    <t>Projected conditions at Hurt Park during the Last Glacial Maximum</t>
  </si>
  <si>
    <r>
      <t>CO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Concentration (ppm)</t>
    </r>
  </si>
  <si>
    <r>
      <t xml:space="preserve">Future               </t>
    </r>
    <r>
      <rPr>
        <sz val="8"/>
        <color theme="1"/>
        <rFont val="Arial"/>
        <family val="2"/>
      </rPr>
      <t xml:space="preserve"> </t>
    </r>
    <r>
      <rPr>
        <sz val="7"/>
        <color theme="1"/>
        <rFont val="Arial"/>
        <family val="2"/>
      </rPr>
      <t>(based on RCP8.5 scenario)</t>
    </r>
  </si>
  <si>
    <r>
      <t xml:space="preserve">Future               </t>
    </r>
    <r>
      <rPr>
        <sz val="8"/>
        <color theme="1"/>
        <rFont val="Arial"/>
        <family val="2"/>
      </rPr>
      <t xml:space="preserve"> </t>
    </r>
    <r>
      <rPr>
        <sz val="7"/>
        <color theme="1"/>
        <rFont val="Arial"/>
        <family val="2"/>
      </rPr>
      <t>(based on recent trends)</t>
    </r>
  </si>
  <si>
    <r>
      <t xml:space="preserve">Future               </t>
    </r>
    <r>
      <rPr>
        <sz val="8"/>
        <color theme="1"/>
        <rFont val="Arial"/>
        <family val="2"/>
      </rPr>
      <t xml:space="preserve"> </t>
    </r>
    <r>
      <rPr>
        <sz val="7"/>
        <color theme="1"/>
        <rFont val="Arial"/>
        <family val="2"/>
      </rPr>
      <t>(based on RCP4.5 scenario)</t>
    </r>
  </si>
  <si>
    <t xml:space="preserve"> </t>
  </si>
  <si>
    <t>Projected conditions at Hurt Park approximately 30 years from now on the same month, day, and hour</t>
  </si>
  <si>
    <t>of your measurements</t>
  </si>
  <si>
    <t>Today</t>
  </si>
  <si>
    <t>Measured values at your location early in the</t>
  </si>
  <si>
    <t>semester and today</t>
  </si>
  <si>
    <t>Early in Semester</t>
  </si>
  <si>
    <t>Surface Temperature (°C)</t>
  </si>
  <si>
    <r>
      <t>Solar Irradiance (W m</t>
    </r>
    <r>
      <rPr>
        <vertAlign val="superscript"/>
        <sz val="12"/>
        <color theme="1"/>
        <rFont val="Arial"/>
        <family val="2"/>
      </rPr>
      <t>-2</t>
    </r>
    <r>
      <rPr>
        <sz val="12"/>
        <color theme="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</si>
</sst>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\+0;\-0;0"/>
    <numFmt numFmtId="166" formatCode="\+0.0;\-0.0;.0.0"/>
  </numFmts>
  <fonts count="11" x14ac:knownFonts="1"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vertAlign val="superscript"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vertAlign val="subscript"/>
      <sz val="12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Calibri"/>
      <family val="2"/>
      <scheme val="minor"/>
    </font>
    <font>
      <sz val="11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Protection="1"/>
    <xf numFmtId="0" fontId="0" fillId="0" borderId="0" xfId="0" applyProtection="1"/>
    <xf numFmtId="0" fontId="3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164" fontId="2" fillId="0" borderId="6" xfId="0" applyNumberFormat="1" applyFont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166" fontId="2" fillId="0" borderId="6" xfId="0" applyNumberFormat="1" applyFont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5" fillId="0" borderId="4" xfId="0" quotePrefix="1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1" fontId="2" fillId="0" borderId="8" xfId="0" applyNumberFormat="1" applyFont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165" fontId="2" fillId="0" borderId="8" xfId="0" applyNumberFormat="1" applyFont="1" applyBorder="1" applyAlignment="1" applyProtection="1">
      <alignment horizontal="center" vertical="center"/>
    </xf>
    <xf numFmtId="0" fontId="5" fillId="0" borderId="9" xfId="0" quotePrefix="1" applyFont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164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164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 wrapText="1"/>
    </xf>
    <xf numFmtId="164" fontId="2" fillId="0" borderId="8" xfId="0" applyNumberFormat="1" applyFont="1" applyBorder="1" applyAlignment="1" applyProtection="1">
      <alignment horizontal="center" vertical="center"/>
    </xf>
    <xf numFmtId="164" fontId="2" fillId="0" borderId="9" xfId="0" applyNumberFormat="1" applyFont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1" fontId="2" fillId="0" borderId="11" xfId="0" applyNumberFormat="1" applyFont="1" applyBorder="1" applyAlignment="1" applyProtection="1">
      <alignment horizontal="center" vertical="center"/>
    </xf>
    <xf numFmtId="164" fontId="2" fillId="0" borderId="11" xfId="0" applyNumberFormat="1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1" fontId="2" fillId="0" borderId="9" xfId="0" applyNumberFormat="1" applyFont="1" applyBorder="1" applyAlignment="1" applyProtection="1">
      <alignment horizontal="center" vertical="center"/>
    </xf>
    <xf numFmtId="1" fontId="2" fillId="0" borderId="8" xfId="0" quotePrefix="1" applyNumberFormat="1" applyFont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164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1" fontId="2" fillId="0" borderId="0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243840</xdr:colOff>
      <xdr:row>10</xdr:row>
      <xdr:rowOff>144780</xdr:rowOff>
    </xdr:from>
    <xdr:to>
      <xdr:col>30</xdr:col>
      <xdr:colOff>243840</xdr:colOff>
      <xdr:row>25</xdr:row>
      <xdr:rowOff>15240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B1EC1A3E-64E2-443B-A924-D86978080D2C}"/>
            </a:ext>
          </a:extLst>
        </xdr:cNvPr>
        <xdr:cNvCxnSpPr/>
      </xdr:nvCxnSpPr>
      <xdr:spPr>
        <a:xfrm flipV="1">
          <a:off x="29100780" y="2819400"/>
          <a:ext cx="0" cy="26136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541020</xdr:colOff>
      <xdr:row>7</xdr:row>
      <xdr:rowOff>91440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7042A8-A7DB-4709-9EA8-ABF9170A2A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17820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zoomScaleNormal="100" workbookViewId="0">
      <selection activeCell="B5" sqref="B5"/>
    </sheetView>
  </sheetViews>
  <sheetFormatPr defaultRowHeight="14.4" x14ac:dyDescent="0.3"/>
  <cols>
    <col min="1" max="1" width="28" style="2" customWidth="1"/>
    <col min="2" max="3" width="11.77734375" style="2" customWidth="1"/>
    <col min="4" max="4" width="14.77734375" style="2" customWidth="1"/>
    <col min="5" max="5" width="27.5546875" style="2" bestFit="1" customWidth="1"/>
    <col min="6" max="6" width="11.77734375" style="2" customWidth="1"/>
    <col min="7" max="7" width="14.77734375" style="2" customWidth="1"/>
    <col min="8" max="8" width="28" style="2" customWidth="1"/>
    <col min="9" max="11" width="11.77734375" style="2" customWidth="1"/>
    <col min="12" max="12" width="34" style="2" customWidth="1"/>
    <col min="13" max="13" width="14.77734375" style="2" customWidth="1"/>
    <col min="14" max="14" width="28" style="2" customWidth="1"/>
    <col min="15" max="16" width="18.77734375" style="2" customWidth="1"/>
    <col min="17" max="17" width="14.77734375" style="2" customWidth="1"/>
    <col min="18" max="18" width="28" style="2" customWidth="1"/>
    <col min="19" max="22" width="18.77734375" style="2" customWidth="1"/>
    <col min="23" max="16384" width="8.88671875" style="2"/>
  </cols>
  <sheetData>
    <row r="1" spans="1:25" x14ac:dyDescent="0.3">
      <c r="A1" s="1" t="s">
        <v>31</v>
      </c>
      <c r="E1" s="1" t="s">
        <v>11</v>
      </c>
      <c r="F1" s="1"/>
      <c r="H1" s="1" t="s">
        <v>16</v>
      </c>
      <c r="I1" s="1"/>
      <c r="J1" s="1"/>
      <c r="N1" s="1" t="s">
        <v>22</v>
      </c>
      <c r="O1" s="1"/>
      <c r="P1" s="1"/>
      <c r="Q1" s="1"/>
      <c r="R1" s="1" t="s">
        <v>28</v>
      </c>
      <c r="S1" s="1"/>
      <c r="T1" s="1"/>
    </row>
    <row r="2" spans="1:25" x14ac:dyDescent="0.3">
      <c r="A2" s="1" t="s">
        <v>32</v>
      </c>
      <c r="E2" s="1" t="s">
        <v>12</v>
      </c>
      <c r="F2" s="1"/>
      <c r="H2" s="1" t="s">
        <v>17</v>
      </c>
      <c r="I2" s="1"/>
      <c r="J2" s="1"/>
      <c r="N2" s="1" t="s">
        <v>21</v>
      </c>
      <c r="O2" s="1"/>
      <c r="P2" s="1"/>
      <c r="Q2" s="1"/>
      <c r="R2" s="1" t="s">
        <v>29</v>
      </c>
      <c r="S2" s="1"/>
      <c r="T2" s="1"/>
      <c r="Y2"/>
    </row>
    <row r="3" spans="1:25" ht="15" thickBot="1" x14ac:dyDescent="0.35"/>
    <row r="4" spans="1:25" ht="28.05" customHeight="1" x14ac:dyDescent="0.3">
      <c r="A4" s="5" t="s">
        <v>0</v>
      </c>
      <c r="B4" s="42" t="s">
        <v>33</v>
      </c>
      <c r="C4" s="22" t="s">
        <v>30</v>
      </c>
      <c r="E4" s="5" t="s">
        <v>0</v>
      </c>
      <c r="F4" s="22" t="s">
        <v>1</v>
      </c>
      <c r="G4" s="3"/>
      <c r="H4" s="5" t="s">
        <v>0</v>
      </c>
      <c r="I4" s="6" t="s">
        <v>13</v>
      </c>
      <c r="J4" s="8" t="s">
        <v>18</v>
      </c>
      <c r="K4" s="8" t="s">
        <v>14</v>
      </c>
      <c r="L4" s="10" t="s">
        <v>15</v>
      </c>
      <c r="N4" s="5" t="s">
        <v>0</v>
      </c>
      <c r="O4" s="8" t="s">
        <v>19</v>
      </c>
      <c r="P4" s="18" t="s">
        <v>20</v>
      </c>
      <c r="Q4" s="43"/>
      <c r="R4" s="5" t="s">
        <v>0</v>
      </c>
      <c r="S4" s="8" t="s">
        <v>19</v>
      </c>
      <c r="T4" s="29" t="s">
        <v>25</v>
      </c>
      <c r="U4" s="26" t="s">
        <v>26</v>
      </c>
      <c r="V4" s="10" t="s">
        <v>24</v>
      </c>
    </row>
    <row r="5" spans="1:25" ht="28.05" customHeight="1" x14ac:dyDescent="0.3">
      <c r="A5" s="12" t="s">
        <v>3</v>
      </c>
      <c r="B5" s="39" t="s">
        <v>27</v>
      </c>
      <c r="C5" s="23" t="s">
        <v>27</v>
      </c>
      <c r="E5" s="12" t="s">
        <v>3</v>
      </c>
      <c r="F5" s="23"/>
      <c r="G5" s="3"/>
      <c r="H5" s="12" t="s">
        <v>2</v>
      </c>
      <c r="I5" s="34" t="str">
        <f>IF(F5&lt;&gt;"",F5*9/5+32,"")</f>
        <v/>
      </c>
      <c r="J5" s="14"/>
      <c r="K5" s="15" t="e">
        <f>I5-J5</f>
        <v>#VALUE!</v>
      </c>
      <c r="L5" s="16" t="e">
        <f>IF(K5&lt;=-7.47,"Much Colder",IF(AND(K5&gt;-7.47,K5&lt;=-3.74),"Colder",IF(AND(K5&gt;=3.74,K5&lt;7.47),"Warmer",IF(K5&gt;=7.47,"Much Warmer","Expected Temperature"))))</f>
        <v>#VALUE!</v>
      </c>
      <c r="N5" s="12" t="s">
        <v>2</v>
      </c>
      <c r="O5" s="17" t="str">
        <f>IF(J5&lt;&gt;"",J5,"")</f>
        <v/>
      </c>
      <c r="P5" s="33" t="str">
        <f>IF(O5&lt;&gt;"",O5-10.8,"")</f>
        <v/>
      </c>
      <c r="Q5" s="44"/>
      <c r="R5" s="12" t="s">
        <v>2</v>
      </c>
      <c r="S5" s="17" t="str">
        <f>O5</f>
        <v/>
      </c>
      <c r="T5" s="30" t="str">
        <f>IF(S5&lt;&gt;"",S5+(3*30/100)*9/5,"")</f>
        <v/>
      </c>
      <c r="U5" s="13" t="str">
        <f>IF(S5&lt;&gt;"",S5+(AVERAGE(0.75,1)*9/5),"")</f>
        <v/>
      </c>
      <c r="V5" s="33" t="str">
        <f>IF(S5&lt;&gt;"",S5+(1.44*9/5),"")</f>
        <v/>
      </c>
    </row>
    <row r="6" spans="1:25" ht="28.05" customHeight="1" x14ac:dyDescent="0.3">
      <c r="A6" s="12" t="s">
        <v>5</v>
      </c>
      <c r="B6" s="39" t="s">
        <v>27</v>
      </c>
      <c r="C6" s="23" t="s">
        <v>27</v>
      </c>
      <c r="E6" s="12" t="s">
        <v>5</v>
      </c>
      <c r="F6" s="23"/>
      <c r="G6" s="3"/>
      <c r="H6" s="12" t="s">
        <v>4</v>
      </c>
      <c r="I6" s="34" t="str">
        <f>IF(F7&lt;&gt;"",F7*((1-(0.0065*309)/(F5+0.0065*309+273.15))^-5.257),"")</f>
        <v/>
      </c>
      <c r="J6" s="14"/>
      <c r="K6" s="15" t="e">
        <f t="shared" ref="K6" si="0">I6-J6</f>
        <v>#VALUE!</v>
      </c>
      <c r="L6" s="16" t="e">
        <f>IF(K6&lt;=-9.5,"Much Lower Pressure",IF(AND(K6&gt;-9.5,K6&lt;=-4.75),"Lower Pressure",IF(AND(K6&gt;=4.75,K6&lt;9.5),"Higher Pressure",IF(K6&gt;=9.5,"Much Higher Pressure","Expected Pressure"))))</f>
        <v>#VALUE!</v>
      </c>
      <c r="N6" s="12" t="s">
        <v>7</v>
      </c>
      <c r="O6" s="25" t="str">
        <f>IF(J8&lt;&gt;"",J8,"")</f>
        <v/>
      </c>
      <c r="P6" s="28" t="str">
        <f>IF(O6&lt;&gt;"",O6*0.6,"")</f>
        <v/>
      </c>
      <c r="Q6" s="45"/>
      <c r="R6" s="12" t="s">
        <v>7</v>
      </c>
      <c r="S6" s="25" t="str">
        <f>O6</f>
        <v/>
      </c>
      <c r="T6" s="31" t="str">
        <f>IF(S6&lt;&gt;"",S6+(0.025*3),"")</f>
        <v/>
      </c>
      <c r="U6" s="27" t="str">
        <f>IF(S6&lt;&gt;"",S6+(S6*0.05),"")</f>
        <v/>
      </c>
      <c r="V6" s="28" t="str">
        <f>IF(S6&lt;&gt;"",S6+0.75,"")</f>
        <v/>
      </c>
    </row>
    <row r="7" spans="1:25" ht="28.05" customHeight="1" thickBot="1" x14ac:dyDescent="0.35">
      <c r="A7" s="12" t="s">
        <v>6</v>
      </c>
      <c r="B7" s="39" t="s">
        <v>27</v>
      </c>
      <c r="C7" s="23" t="s">
        <v>27</v>
      </c>
      <c r="E7" s="12" t="s">
        <v>6</v>
      </c>
      <c r="F7" s="23"/>
      <c r="G7" s="3"/>
      <c r="H7" s="12" t="s">
        <v>5</v>
      </c>
      <c r="I7" s="13" t="str">
        <f>IF(F6&lt;&gt;"",F6,"")</f>
        <v/>
      </c>
      <c r="J7" s="14"/>
      <c r="K7" s="15" t="e">
        <f>I7-J7</f>
        <v>#VALUE!</v>
      </c>
      <c r="L7" s="16" t="e">
        <f>IF(K7&lt;=-28.83,"Feels Much Drier",IF(AND(K7&gt;-28.83,K7&lt;=-14.42),"Feels Drier",IF(AND(K7&gt;=14.42,K7&lt;28.83),"Feels More Humid",IF(K7&gt;=28.83,"Feels Much More Humid","Expected Relative Humidity"))))</f>
        <v>#VALUE!</v>
      </c>
      <c r="N7" s="20" t="s">
        <v>23</v>
      </c>
      <c r="O7" s="24" t="str">
        <f>IF(F8&lt;&gt;"",F8,"")</f>
        <v/>
      </c>
      <c r="P7" s="19" t="str">
        <f>IF(O7&lt;&gt;"",185,"")</f>
        <v/>
      </c>
      <c r="Q7" s="46"/>
      <c r="R7" s="20" t="s">
        <v>23</v>
      </c>
      <c r="S7" s="24" t="str">
        <f>O7</f>
        <v/>
      </c>
      <c r="T7" s="32" t="str">
        <f>IF(S7&lt;&gt;"",S7+87,"")</f>
        <v/>
      </c>
      <c r="U7" s="24" t="str">
        <f>IF(S7&lt;&gt;"",S7+110,"")</f>
        <v/>
      </c>
      <c r="V7" s="19" t="str">
        <f>IF(S7&lt;&gt;"",S7+160,"")</f>
        <v/>
      </c>
    </row>
    <row r="8" spans="1:25" ht="28.05" customHeight="1" thickBot="1" x14ac:dyDescent="0.35">
      <c r="A8" s="47" t="s">
        <v>34</v>
      </c>
      <c r="B8" s="39" t="s">
        <v>27</v>
      </c>
      <c r="C8" s="23" t="s">
        <v>27</v>
      </c>
      <c r="E8" s="20" t="s">
        <v>23</v>
      </c>
      <c r="F8" s="35"/>
      <c r="G8" s="3"/>
      <c r="H8" s="4" t="s">
        <v>7</v>
      </c>
      <c r="I8" s="7" t="e">
        <f>IF(Calculations!H12&lt;&gt;"",Calculations!H12,"")</f>
        <v>#DIV/0!</v>
      </c>
      <c r="J8" s="21"/>
      <c r="K8" s="9" t="e">
        <f>I8-J8</f>
        <v>#DIV/0!</v>
      </c>
      <c r="L8" s="11" t="e">
        <f>IF(K8&lt;=-4.9,"Much Less Moisture",IF(AND(K8&gt;-4.9,K8&lt;=-2.45),"Less Moisture",IF(AND(K8&gt;=2.45,K8&lt;4.9),"More Moisture",IF(K8&gt;=4.9,"Much More Moisture","Expected Specific Humidity"))))</f>
        <v>#DIV/0!</v>
      </c>
      <c r="V8" s="2" t="s">
        <v>27</v>
      </c>
    </row>
    <row r="9" spans="1:25" ht="28.05" customHeight="1" x14ac:dyDescent="0.3">
      <c r="A9" s="12" t="s">
        <v>35</v>
      </c>
      <c r="B9" s="39" t="s">
        <v>27</v>
      </c>
      <c r="C9" s="23" t="s">
        <v>27</v>
      </c>
    </row>
    <row r="10" spans="1:25" ht="28.05" customHeight="1" x14ac:dyDescent="0.3">
      <c r="A10" s="38" t="s">
        <v>23</v>
      </c>
      <c r="B10" s="40" t="s">
        <v>27</v>
      </c>
      <c r="C10" s="41" t="s">
        <v>27</v>
      </c>
      <c r="M10" s="36"/>
      <c r="T10" s="2" t="s">
        <v>27</v>
      </c>
    </row>
    <row r="11" spans="1:25" ht="28.05" customHeight="1" thickBot="1" x14ac:dyDescent="0.35">
      <c r="A11" s="20" t="s">
        <v>7</v>
      </c>
      <c r="B11" s="7" t="e">
        <f>IF(Calculations!B12&lt;&gt;"",Calculations!B12,"")</f>
        <v>#VALUE!</v>
      </c>
      <c r="C11" s="37" t="e">
        <f>IF(Calculations!E12&lt;&gt;"",Calculations!E12,"")</f>
        <v>#VALUE!</v>
      </c>
    </row>
  </sheetData>
  <sheetProtection selectLockedCells="1"/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0:H12"/>
  <sheetViews>
    <sheetView workbookViewId="0">
      <selection activeCell="B12" sqref="B12"/>
    </sheetView>
  </sheetViews>
  <sheetFormatPr defaultRowHeight="14.4" x14ac:dyDescent="0.3"/>
  <sheetData>
    <row r="10" spans="1:8" x14ac:dyDescent="0.3">
      <c r="A10" t="s">
        <v>8</v>
      </c>
      <c r="B10" t="e">
        <f>EXP(26.66082-(0.0091379024*(Data!B5+273.15))-(6106.396/(Data!B5+273.15)))</f>
        <v>#VALUE!</v>
      </c>
      <c r="D10" t="s">
        <v>8</v>
      </c>
      <c r="E10" t="e">
        <f>EXP(26.66082-(0.0091379024*(Data!C5+273.15))-(6106.396/(Data!C5+273.15)))</f>
        <v>#VALUE!</v>
      </c>
      <c r="G10" t="s">
        <v>8</v>
      </c>
      <c r="H10">
        <f>EXP(26.66082-(0.0091379024*(Data!F5+273.15))-(6106.396/(Data!F5+273.15)))</f>
        <v>6.1063808637534418</v>
      </c>
    </row>
    <row r="11" spans="1:8" x14ac:dyDescent="0.3">
      <c r="A11" t="s">
        <v>9</v>
      </c>
      <c r="B11" t="e">
        <f>Data!B6/100*Calculations!B10</f>
        <v>#VALUE!</v>
      </c>
      <c r="D11" t="s">
        <v>9</v>
      </c>
      <c r="E11" t="e">
        <f>Data!C6/100*Calculations!E10</f>
        <v>#VALUE!</v>
      </c>
      <c r="G11" t="s">
        <v>9</v>
      </c>
      <c r="H11">
        <f>Data!F6/100*Calculations!H10</f>
        <v>0</v>
      </c>
    </row>
    <row r="12" spans="1:8" x14ac:dyDescent="0.3">
      <c r="A12" t="s">
        <v>10</v>
      </c>
      <c r="B12" t="e">
        <f>1000*(B11/Data!B7*18.01534)/(((B11/Data!B7)*18.01534)+(1-(B11/Data!B7))*28.9644)</f>
        <v>#VALUE!</v>
      </c>
      <c r="D12" t="s">
        <v>10</v>
      </c>
      <c r="E12" t="e">
        <f>1000*(E11/Data!C7*18.01534)/(((E11/Data!C7)*18.01534)+(1-(E11/Data!C7))*28.9644)</f>
        <v>#VALUE!</v>
      </c>
      <c r="G12" t="s">
        <v>10</v>
      </c>
      <c r="H12" t="e">
        <f>1000*(H11/Data!F7*18.01534)/(((H11/Data!F7)*18.01534)+(1-(H11/Data!F7))*28.9644)</f>
        <v>#DIV/0!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Diem</dc:creator>
  <cp:lastModifiedBy>Jeremy Diem</cp:lastModifiedBy>
  <dcterms:created xsi:type="dcterms:W3CDTF">2019-02-10T20:02:24Z</dcterms:created>
  <dcterms:modified xsi:type="dcterms:W3CDTF">2019-03-27T02:48:37Z</dcterms:modified>
</cp:coreProperties>
</file>